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<sst xmlns="http://schemas.openxmlformats.org/spreadsheetml/2006/main" count="113" uniqueCount="63">
  <si>
    <t>Company Name</t>
  </si>
  <si>
    <t>Current EPS =</t>
  </si>
  <si>
    <t>Length of growth stage (no more than 10 years) =</t>
  </si>
  <si>
    <t>Current Dividends/Share =</t>
  </si>
  <si>
    <t>High growth rate =</t>
  </si>
  <si>
    <t>Length of transitional growth stage (no more than 10 years) =</t>
  </si>
  <si>
    <t>Payout ratio in stable phase</t>
  </si>
  <si>
    <t>Stable growth rate =</t>
  </si>
  <si>
    <t>High Growth Phase</t>
  </si>
  <si>
    <t>Year</t>
  </si>
  <si>
    <t>Growth Rate</t>
  </si>
  <si>
    <t>EPS</t>
  </si>
  <si>
    <t>Payout Ratio</t>
  </si>
  <si>
    <t>Dividends/Share</t>
  </si>
  <si>
    <t>Present Value</t>
  </si>
  <si>
    <t>Transitional Growth Phase</t>
  </si>
  <si>
    <t>Price at the end of high growth stage =</t>
  </si>
  <si>
    <t>Present value of dividends in high growth phase =</t>
  </si>
  <si>
    <t>Present value of dividends in transitional growth phase =</t>
  </si>
  <si>
    <t>Present value of terminal phase =</t>
  </si>
  <si>
    <t>Intrinsic Value =</t>
  </si>
  <si>
    <t>Three Stage Dividend Discount Model</t>
  </si>
  <si>
    <t>Risk free rate =</t>
  </si>
  <si>
    <t>Market premium =</t>
  </si>
  <si>
    <t>Beta of the stock =</t>
  </si>
  <si>
    <t>Discount Rate =</t>
  </si>
  <si>
    <t>Historical growth</t>
  </si>
  <si>
    <t>Enter EPS from 5 years ago</t>
  </si>
  <si>
    <t>Outside Estimate</t>
  </si>
  <si>
    <t>Fundamental Growth</t>
  </si>
  <si>
    <t>The following will be inputs for the calculation of fundamental growth</t>
  </si>
  <si>
    <t>Current EPS</t>
  </si>
  <si>
    <t>Book value of equity</t>
  </si>
  <si>
    <t>ROE</t>
  </si>
  <si>
    <t>Retention ratio</t>
  </si>
  <si>
    <t>Outside estimate of earnings growth</t>
  </si>
  <si>
    <t>Outside estimate =</t>
  </si>
  <si>
    <t>Historical growth =</t>
  </si>
  <si>
    <t>Fundamental growth =</t>
  </si>
  <si>
    <t>Weight</t>
  </si>
  <si>
    <t>Weighted Average =</t>
  </si>
  <si>
    <t>Cost of Equity</t>
  </si>
  <si>
    <t>The cost of equity or discount rate is computed using the Capital Asset Pricing Model</t>
  </si>
  <si>
    <t>Current Dividend/Share</t>
  </si>
  <si>
    <t>Three Stage Free Cash Flow to Equity</t>
  </si>
  <si>
    <t>Current Capital Spending/sh =</t>
  </si>
  <si>
    <t>Current Depreciation/share =</t>
  </si>
  <si>
    <t>Chg. Working Capital/share =</t>
  </si>
  <si>
    <t>Enter the discount rate =</t>
  </si>
  <si>
    <t>Debt Ratio =</t>
  </si>
  <si>
    <t>Length of high growth stage (no more than 10 years=</t>
  </si>
  <si>
    <t>Length of transitional growth stage (no more than 10 years =</t>
  </si>
  <si>
    <t>(CapEx-Depreciation)*(1-DR)</t>
  </si>
  <si>
    <t>Chg. Working Capital *(1-DR)</t>
  </si>
  <si>
    <t>FCFE</t>
  </si>
  <si>
    <t>End-of-Life Index</t>
  </si>
  <si>
    <t>FCFE in terminal year =</t>
  </si>
  <si>
    <t>Price at the end of growth phase =</t>
  </si>
  <si>
    <t>Present Value of FCFE in high growth phase =</t>
  </si>
  <si>
    <t>Present Value of FCFE in transition phase =</t>
  </si>
  <si>
    <t>Present Value of Terminal Price =</t>
  </si>
  <si>
    <t>DDM</t>
  </si>
  <si>
    <t>Corning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</si>
</sst>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  <numFmt numFmtId="168" formatCode="[$-409]h:mm:ss\ AM/PM"/>
    <numFmt numFmtId="169" formatCode="0.000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Black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26"/>
      <color indexed="8"/>
      <name val="Britannic Bold"/>
      <family val="2"/>
    </font>
    <font>
      <sz val="10"/>
      <color indexed="8"/>
      <name val="Times New Roman"/>
      <family val="1"/>
    </font>
    <font>
      <sz val="10"/>
      <color indexed="8"/>
      <name val="Arial Black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22"/>
      <color indexed="8"/>
      <name val="Britannic Bold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8">
      <alignment/>
      <protection/>
    </xf>
    <xf numFmtId="44" fontId="2" fillId="0" borderId="0" xfId="47" applyFont="1" applyAlignment="1">
      <alignment/>
    </xf>
    <xf numFmtId="0" fontId="4" fillId="0" borderId="0" xfId="58" applyFont="1" applyAlignment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 applyAlignment="1">
      <alignment horizontal="center"/>
      <protection/>
    </xf>
    <xf numFmtId="10" fontId="5" fillId="0" borderId="0" xfId="62" applyNumberFormat="1" applyFont="1" applyAlignment="1">
      <alignment horizontal="center"/>
    </xf>
    <xf numFmtId="7" fontId="5" fillId="0" borderId="0" xfId="47" applyNumberFormat="1" applyFont="1" applyAlignment="1">
      <alignment horizontal="center"/>
    </xf>
    <xf numFmtId="7" fontId="5" fillId="0" borderId="0" xfId="47" applyNumberFormat="1" applyFont="1" applyAlignment="1">
      <alignment horizontal="center" vertical="center"/>
    </xf>
    <xf numFmtId="10" fontId="5" fillId="0" borderId="0" xfId="62" applyNumberFormat="1" applyFont="1" applyAlignment="1">
      <alignment horizontal="center" vertical="center"/>
    </xf>
    <xf numFmtId="0" fontId="4" fillId="0" borderId="0" xfId="58" applyFont="1">
      <alignment/>
      <protection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10" fontId="6" fillId="0" borderId="0" xfId="61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7" fontId="5" fillId="33" borderId="10" xfId="47" applyNumberFormat="1" applyFont="1" applyFill="1" applyBorder="1" applyAlignment="1">
      <alignment horizontal="center"/>
    </xf>
    <xf numFmtId="10" fontId="5" fillId="33" borderId="10" xfId="62" applyNumberFormat="1" applyFont="1" applyFill="1" applyBorder="1" applyAlignment="1">
      <alignment horizontal="center"/>
    </xf>
    <xf numFmtId="10" fontId="5" fillId="33" borderId="10" xfId="6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7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5" fillId="0" borderId="0" xfId="47" applyNumberFormat="1" applyFont="1" applyAlignment="1">
      <alignment horizontal="center" vertical="center"/>
    </xf>
    <xf numFmtId="0" fontId="9" fillId="0" borderId="0" xfId="0" applyFont="1" applyAlignment="1">
      <alignment/>
    </xf>
    <xf numFmtId="10" fontId="5" fillId="34" borderId="10" xfId="62" applyNumberFormat="1" applyFont="1" applyFill="1" applyBorder="1" applyAlignment="1">
      <alignment horizontal="center"/>
    </xf>
    <xf numFmtId="0" fontId="5" fillId="34" borderId="10" xfId="58" applyFont="1" applyFill="1" applyBorder="1" applyAlignment="1">
      <alignment horizontal="center" vertical="center"/>
      <protection/>
    </xf>
    <xf numFmtId="10" fontId="5" fillId="34" borderId="10" xfId="62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0" fontId="5" fillId="34" borderId="10" xfId="61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0" fontId="5" fillId="33" borderId="10" xfId="61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10" fontId="5" fillId="33" borderId="10" xfId="61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/>
    </xf>
    <xf numFmtId="10" fontId="12" fillId="35" borderId="10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9" fontId="12" fillId="35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2" fillId="36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12" fillId="33" borderId="11" xfId="58" applyNumberFormat="1" applyFont="1" applyFill="1" applyBorder="1" applyAlignment="1">
      <alignment horizontal="center"/>
      <protection/>
    </xf>
    <xf numFmtId="7" fontId="12" fillId="33" borderId="12" xfId="58" applyNumberFormat="1" applyFont="1" applyFill="1" applyBorder="1" applyAlignment="1">
      <alignment horizontal="center"/>
      <protection/>
    </xf>
    <xf numFmtId="7" fontId="5" fillId="33" borderId="11" xfId="47" applyNumberFormat="1" applyFont="1" applyFill="1" applyBorder="1" applyAlignment="1">
      <alignment horizontal="center"/>
    </xf>
    <xf numFmtId="7" fontId="5" fillId="33" borderId="12" xfId="47" applyNumberFormat="1" applyFont="1" applyFill="1" applyBorder="1" applyAlignment="1">
      <alignment horizontal="center"/>
    </xf>
    <xf numFmtId="7" fontId="5" fillId="33" borderId="11" xfId="58" applyNumberFormat="1" applyFont="1" applyFill="1" applyBorder="1" applyAlignment="1">
      <alignment horizontal="center"/>
      <protection/>
    </xf>
    <xf numFmtId="7" fontId="5" fillId="33" borderId="12" xfId="5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0" width="11.421875" style="0" customWidth="1"/>
  </cols>
  <sheetData>
    <row r="1" spans="1:5" ht="15.75">
      <c r="A1" s="32" t="s">
        <v>28</v>
      </c>
      <c r="B1" s="24"/>
      <c r="C1" s="24"/>
      <c r="D1" s="24"/>
      <c r="E1" s="24"/>
    </row>
    <row r="2" spans="1:5" ht="15">
      <c r="A2" s="24" t="s">
        <v>35</v>
      </c>
      <c r="B2" s="24"/>
      <c r="C2" s="24"/>
      <c r="D2" s="37"/>
      <c r="E2" s="38">
        <v>0.09</v>
      </c>
    </row>
    <row r="3" spans="1:5" ht="15">
      <c r="A3" s="24"/>
      <c r="B3" s="24"/>
      <c r="C3" s="24"/>
      <c r="D3" s="37"/>
      <c r="E3" s="37"/>
    </row>
    <row r="4" spans="1:5" ht="15">
      <c r="A4" s="50" t="s">
        <v>26</v>
      </c>
      <c r="B4" s="24"/>
      <c r="C4" s="24"/>
      <c r="D4" s="37"/>
      <c r="E4" s="37"/>
    </row>
    <row r="5" spans="1:5" ht="15">
      <c r="A5" s="24" t="s">
        <v>27</v>
      </c>
      <c r="B5" s="24"/>
      <c r="C5" s="24"/>
      <c r="D5" s="37"/>
      <c r="E5" s="39">
        <v>1.51</v>
      </c>
    </row>
    <row r="6" spans="1:5" ht="15">
      <c r="A6" s="24"/>
      <c r="B6" s="24"/>
      <c r="C6" s="24"/>
      <c r="D6" s="37"/>
      <c r="E6" s="37"/>
    </row>
    <row r="7" spans="1:5" ht="15.75">
      <c r="A7" s="32" t="s">
        <v>29</v>
      </c>
      <c r="B7" s="24"/>
      <c r="C7" s="24"/>
      <c r="D7" s="37"/>
      <c r="E7" s="37"/>
    </row>
    <row r="8" spans="1:5" ht="15">
      <c r="A8" s="24" t="s">
        <v>31</v>
      </c>
      <c r="B8" s="24"/>
      <c r="C8" s="24"/>
      <c r="D8" s="37"/>
      <c r="E8" s="39">
        <v>2.15</v>
      </c>
    </row>
    <row r="9" spans="1:5" ht="15">
      <c r="A9" s="24" t="s">
        <v>43</v>
      </c>
      <c r="B9" s="24"/>
      <c r="C9" s="24"/>
      <c r="D9" s="37"/>
      <c r="E9" s="39">
        <v>1.12</v>
      </c>
    </row>
    <row r="10" spans="1:5" ht="15">
      <c r="A10" s="24" t="s">
        <v>32</v>
      </c>
      <c r="B10" s="24"/>
      <c r="C10" s="24"/>
      <c r="D10" s="37"/>
      <c r="E10" s="39">
        <v>11.01</v>
      </c>
    </row>
    <row r="11" spans="1:5" ht="15">
      <c r="A11" s="36" t="s">
        <v>30</v>
      </c>
      <c r="B11" s="24"/>
      <c r="C11" s="24"/>
      <c r="D11" s="37"/>
      <c r="E11" s="37"/>
    </row>
    <row r="12" spans="1:5" ht="15">
      <c r="A12" s="24" t="s">
        <v>33</v>
      </c>
      <c r="B12" s="24"/>
      <c r="C12" s="24"/>
      <c r="D12" s="37"/>
      <c r="E12" s="40">
        <f>IF(E10&gt;0,E8/E10,NA)</f>
        <v>0.1952770208900999</v>
      </c>
    </row>
    <row r="13" spans="1:9" ht="15">
      <c r="A13" s="24" t="s">
        <v>34</v>
      </c>
      <c r="B13" s="24"/>
      <c r="C13" s="24"/>
      <c r="D13" s="37"/>
      <c r="E13" s="40">
        <f>1-(E9/E8)</f>
        <v>0.47906976744186036</v>
      </c>
      <c r="I13" s="16"/>
    </row>
    <row r="14" spans="1:8" ht="15">
      <c r="A14" s="24"/>
      <c r="B14" s="24"/>
      <c r="C14" s="24"/>
      <c r="D14" s="37"/>
      <c r="E14" s="37"/>
      <c r="H14" s="16"/>
    </row>
    <row r="15" spans="1:5" ht="15">
      <c r="A15" s="24"/>
      <c r="B15" s="24"/>
      <c r="C15" s="24"/>
      <c r="D15" s="41" t="s">
        <v>10</v>
      </c>
      <c r="E15" s="41" t="s">
        <v>39</v>
      </c>
    </row>
    <row r="16" spans="1:5" ht="15">
      <c r="A16" s="24" t="s">
        <v>36</v>
      </c>
      <c r="B16" s="24"/>
      <c r="C16" s="24"/>
      <c r="D16" s="40">
        <f>E2</f>
        <v>0.09</v>
      </c>
      <c r="E16" s="42">
        <v>0.4</v>
      </c>
    </row>
    <row r="17" spans="1:6" ht="15">
      <c r="A17" s="24" t="s">
        <v>37</v>
      </c>
      <c r="B17" s="24"/>
      <c r="C17" s="24"/>
      <c r="D17" s="43">
        <f>(E8/E5)^(0.2)-1</f>
        <v>0.0732287607429325</v>
      </c>
      <c r="E17" s="42">
        <v>0.3</v>
      </c>
      <c r="F17" s="15"/>
    </row>
    <row r="18" spans="1:6" ht="15">
      <c r="A18" s="24" t="s">
        <v>38</v>
      </c>
      <c r="B18" s="24"/>
      <c r="C18" s="24"/>
      <c r="D18" s="40">
        <f>IF(E12="NA",0,E12*E13)</f>
        <v>0.09355131698455947</v>
      </c>
      <c r="E18" s="42">
        <v>0.3</v>
      </c>
      <c r="F18" s="15"/>
    </row>
    <row r="19" spans="1:6" ht="15">
      <c r="A19" s="36" t="s">
        <v>40</v>
      </c>
      <c r="B19" s="24"/>
      <c r="C19" s="24"/>
      <c r="D19" s="40">
        <f>SUMPRODUCT(D16:D18,E16:E18)</f>
        <v>0.0860340233182476</v>
      </c>
      <c r="E19" s="37"/>
      <c r="F19" s="16"/>
    </row>
    <row r="20" spans="1:5" ht="15">
      <c r="A20" s="36"/>
      <c r="B20" s="24"/>
      <c r="C20" s="24"/>
      <c r="D20" s="37"/>
      <c r="E20" s="37"/>
    </row>
    <row r="21" spans="1:5" ht="15.75">
      <c r="A21" s="32" t="s">
        <v>41</v>
      </c>
      <c r="B21" s="24"/>
      <c r="C21" s="24"/>
      <c r="D21" s="37"/>
      <c r="E21" s="37"/>
    </row>
    <row r="22" spans="1:5" ht="15">
      <c r="A22" s="36" t="s">
        <v>42</v>
      </c>
      <c r="B22" s="24"/>
      <c r="C22" s="24"/>
      <c r="D22" s="37"/>
      <c r="E22" s="37"/>
    </row>
    <row r="23" spans="1:5" ht="15">
      <c r="A23" s="24" t="s">
        <v>22</v>
      </c>
      <c r="B23" s="24"/>
      <c r="C23" s="24"/>
      <c r="D23" s="38">
        <v>0.0456</v>
      </c>
      <c r="E23" s="37"/>
    </row>
    <row r="24" spans="1:5" ht="15">
      <c r="A24" s="24" t="s">
        <v>23</v>
      </c>
      <c r="B24" s="24"/>
      <c r="C24" s="24"/>
      <c r="D24" s="38">
        <v>0.053</v>
      </c>
      <c r="E24" s="37"/>
    </row>
    <row r="25" spans="1:5" ht="15">
      <c r="A25" s="24" t="s">
        <v>24</v>
      </c>
      <c r="B25" s="24"/>
      <c r="C25" s="24"/>
      <c r="D25" s="42">
        <v>1.1</v>
      </c>
      <c r="E25" s="37"/>
    </row>
    <row r="26" spans="1:5" ht="15">
      <c r="A26" s="24"/>
      <c r="B26" s="24"/>
      <c r="C26" s="24"/>
      <c r="D26" s="37"/>
      <c r="E26" s="37"/>
    </row>
    <row r="27" spans="1:5" ht="15">
      <c r="A27" s="24" t="s">
        <v>25</v>
      </c>
      <c r="B27" s="24"/>
      <c r="C27" s="24"/>
      <c r="D27" s="40">
        <f>D23+(D25*(D24))</f>
        <v>0.1039</v>
      </c>
      <c r="E27" s="37"/>
    </row>
    <row r="28" spans="1:5" ht="15">
      <c r="A28" s="24"/>
      <c r="B28" s="24"/>
      <c r="C28" s="24"/>
      <c r="D28" s="24"/>
      <c r="E28" s="24"/>
    </row>
    <row r="29" spans="1:5" ht="15">
      <c r="A29" s="24"/>
      <c r="B29" s="24"/>
      <c r="C29" s="24"/>
      <c r="D29" s="24"/>
      <c r="E29" s="24"/>
    </row>
    <row r="30" spans="1:5" ht="15">
      <c r="A30" s="52" t="s">
        <v>61</v>
      </c>
      <c r="B30" s="52"/>
      <c r="C30" s="52"/>
      <c r="D30" s="52"/>
      <c r="E30" s="52"/>
    </row>
    <row r="31" spans="1:5" ht="15">
      <c r="A31" s="52"/>
      <c r="B31" s="52"/>
      <c r="C31" s="52"/>
      <c r="D31" s="52"/>
      <c r="E31" s="52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28.28125" style="0" customWidth="1"/>
  </cols>
  <sheetData>
    <row r="1" spans="1:11" ht="1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="14" customFormat="1" ht="15.75" customHeight="1"/>
    <row r="4" spans="1:11" ht="15.75">
      <c r="A4" s="13" t="s">
        <v>0</v>
      </c>
      <c r="C4" s="13" t="s">
        <v>62</v>
      </c>
      <c r="D4" s="2"/>
      <c r="E4" s="1"/>
      <c r="F4" s="1"/>
      <c r="G4" s="1"/>
      <c r="H4" s="1"/>
      <c r="I4" s="1"/>
      <c r="J4" s="1"/>
      <c r="K4" s="1"/>
    </row>
    <row r="6" spans="1:11" ht="15">
      <c r="A6" s="4" t="s">
        <v>1</v>
      </c>
      <c r="B6" s="1"/>
      <c r="C6" s="20">
        <f>Sheet1!E8</f>
        <v>2.15</v>
      </c>
      <c r="D6" s="1"/>
      <c r="E6" s="5" t="s">
        <v>2</v>
      </c>
      <c r="F6" s="5"/>
      <c r="G6" s="5"/>
      <c r="H6" s="5"/>
      <c r="I6" s="1"/>
      <c r="J6" s="1"/>
      <c r="K6" s="34">
        <v>5</v>
      </c>
    </row>
    <row r="7" spans="1:11" ht="15">
      <c r="A7" s="4" t="s">
        <v>3</v>
      </c>
      <c r="B7" s="1"/>
      <c r="C7" s="20">
        <f>Sheet1!E9</f>
        <v>1.12</v>
      </c>
      <c r="D7" s="1"/>
      <c r="E7" s="5" t="s">
        <v>4</v>
      </c>
      <c r="F7" s="5"/>
      <c r="G7" s="5"/>
      <c r="H7" s="5"/>
      <c r="I7" s="1"/>
      <c r="J7" s="1"/>
      <c r="K7" s="22">
        <f>Sheet1!D19</f>
        <v>0.0860340233182476</v>
      </c>
    </row>
    <row r="8" spans="1:11" ht="15">
      <c r="A8" s="4" t="s">
        <v>25</v>
      </c>
      <c r="B8" s="1"/>
      <c r="C8" s="21">
        <f>Sheet1!D27</f>
        <v>0.1039</v>
      </c>
      <c r="D8" s="1"/>
      <c r="E8" s="5" t="s">
        <v>5</v>
      </c>
      <c r="F8" s="5"/>
      <c r="G8" s="5"/>
      <c r="H8" s="5"/>
      <c r="I8" s="1"/>
      <c r="J8" s="1"/>
      <c r="K8" s="34">
        <v>5</v>
      </c>
    </row>
    <row r="9" spans="1:11" ht="15">
      <c r="A9" s="6" t="s">
        <v>6</v>
      </c>
      <c r="B9" s="1"/>
      <c r="C9" s="33">
        <v>0.5</v>
      </c>
      <c r="D9" s="1"/>
      <c r="E9" s="5" t="s">
        <v>7</v>
      </c>
      <c r="F9" s="5"/>
      <c r="G9" s="5"/>
      <c r="H9" s="5"/>
      <c r="I9" s="1"/>
      <c r="J9" s="1"/>
      <c r="K9" s="35">
        <v>0.06</v>
      </c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3" t="s">
        <v>8</v>
      </c>
      <c r="B12" s="7"/>
      <c r="C12" s="7"/>
      <c r="D12" s="7"/>
      <c r="E12" s="7"/>
      <c r="F12" s="7"/>
      <c r="G12" s="5"/>
      <c r="H12" s="5"/>
      <c r="I12" s="5"/>
      <c r="J12" s="5"/>
      <c r="K12" s="5"/>
    </row>
    <row r="13" spans="1:11" ht="15">
      <c r="A13" s="5" t="s">
        <v>9</v>
      </c>
      <c r="B13" s="8">
        <f>IF(K6=0," ",1)</f>
        <v>1</v>
      </c>
      <c r="C13" s="8">
        <f>IF(K6=1," ",2)</f>
        <v>2</v>
      </c>
      <c r="D13" s="8">
        <f>IF(K6&lt;3," ",3)</f>
        <v>3</v>
      </c>
      <c r="E13" s="8">
        <f>IF(K6&lt;4," ",4)</f>
        <v>4</v>
      </c>
      <c r="F13" s="8">
        <f>IF(K6&lt;5," ",5)</f>
        <v>5</v>
      </c>
      <c r="G13" s="8" t="str">
        <f>IF(K6&lt;6," ",6)</f>
        <v> </v>
      </c>
      <c r="H13" s="8" t="str">
        <f>IF(K6&lt;7," ",7)</f>
        <v> </v>
      </c>
      <c r="I13" s="8" t="str">
        <f>IF(K6&lt;8," ",8)</f>
        <v> </v>
      </c>
      <c r="J13" s="8" t="str">
        <f>IF(K6&lt;9," ",9)</f>
        <v> </v>
      </c>
      <c r="K13" s="8" t="str">
        <f>IF(K6&lt;10," ",10)</f>
        <v> </v>
      </c>
    </row>
    <row r="14" spans="1:11" ht="15">
      <c r="A14" s="5" t="s">
        <v>10</v>
      </c>
      <c r="B14" s="9">
        <f>IF($K$6=0," ",$K$7)</f>
        <v>0.0860340233182476</v>
      </c>
      <c r="C14" s="9">
        <f>IF($K$6=1," ",$K$7)</f>
        <v>0.0860340233182476</v>
      </c>
      <c r="D14" s="9">
        <f>IF($K$6&lt;3," ",$K$7)</f>
        <v>0.0860340233182476</v>
      </c>
      <c r="E14" s="9">
        <f>IF($K$6&lt;4," ",$K$7)</f>
        <v>0.0860340233182476</v>
      </c>
      <c r="F14" s="9">
        <f>IF($K$6&lt;5," ",$K$7)</f>
        <v>0.0860340233182476</v>
      </c>
      <c r="G14" s="9" t="str">
        <f>IF($K$6&lt;6," ",$K$7)</f>
        <v> </v>
      </c>
      <c r="H14" s="9" t="str">
        <f>IF($K$6&lt;7," ",$K$7)</f>
        <v> </v>
      </c>
      <c r="I14" s="9" t="str">
        <f>IF($K$6&lt;8," ",$K$7)</f>
        <v> </v>
      </c>
      <c r="J14" s="9" t="str">
        <f>IF($K$6&lt;9," ",$K$7)</f>
        <v> </v>
      </c>
      <c r="K14" s="9" t="str">
        <f>IF($K$6&lt;10," ",$K$7)</f>
        <v> </v>
      </c>
    </row>
    <row r="15" spans="1:11" ht="15">
      <c r="A15" s="5" t="s">
        <v>11</v>
      </c>
      <c r="B15" s="10">
        <f>IF($K$6=0," ",$C$6*(1+$K$7)^B13)</f>
        <v>2.334973150134232</v>
      </c>
      <c r="C15" s="10">
        <f>IF($K$6=1," ",$C$6*(1+$K$7)^C13)</f>
        <v>2.535860284580362</v>
      </c>
      <c r="D15" s="10">
        <f>IF($K$6&lt;3," ",$C$6*(1+$K$7)^D13)</f>
        <v>2.7540305474357667</v>
      </c>
      <c r="E15" s="10">
        <f>IF($K$6&lt;4," ",$C$6*(1+$K$7)^E13)</f>
        <v>2.990970875773021</v>
      </c>
      <c r="F15" s="10">
        <f>IF($K$6&lt;5," ",$C$6*(1+$K$7)^F13)</f>
        <v>3.2482961338434766</v>
      </c>
      <c r="G15" s="10" t="str">
        <f>IF($K$6&lt;6," ",$C$6*(1+$K$7)^G13)</f>
        <v> </v>
      </c>
      <c r="H15" s="10" t="str">
        <f>IF($K$6&lt;7," ",$C$6*(1+$K$7)^H13)</f>
        <v> </v>
      </c>
      <c r="I15" s="10" t="str">
        <f>IF($K$6&lt;8," ",$C$6*(1+$K$7)^I13)</f>
        <v> </v>
      </c>
      <c r="J15" s="10" t="str">
        <f>IF($K$6&lt;9," ",$C$6*(1+$K$7)^J13)</f>
        <v> </v>
      </c>
      <c r="K15" s="10" t="str">
        <f>IF($K$6&lt;10," ",$C$6*(1+$K$7)^K13)</f>
        <v> </v>
      </c>
    </row>
    <row r="16" spans="1:11" ht="15">
      <c r="A16" s="5" t="s">
        <v>12</v>
      </c>
      <c r="B16" s="9">
        <f>IF($K$6=0," ",C7/C6)</f>
        <v>0.5209302325581396</v>
      </c>
      <c r="C16" s="9">
        <f>IF($K$6=1," ",B16)</f>
        <v>0.5209302325581396</v>
      </c>
      <c r="D16" s="9">
        <f>IF($K$6&lt;3," ",C16)</f>
        <v>0.5209302325581396</v>
      </c>
      <c r="E16" s="9">
        <f>IF($K$6&lt;4," ",D16)</f>
        <v>0.5209302325581396</v>
      </c>
      <c r="F16" s="9">
        <f>IF($K$6&lt;5," ",E16)</f>
        <v>0.5209302325581396</v>
      </c>
      <c r="G16" s="9" t="str">
        <f>IF($K$6&lt;6," ",F16)</f>
        <v> </v>
      </c>
      <c r="H16" s="9" t="str">
        <f>IF($K$6&lt;7," ",G16)</f>
        <v> </v>
      </c>
      <c r="I16" s="9" t="str">
        <f>IF($K$6&lt;8," ",H16)</f>
        <v> </v>
      </c>
      <c r="J16" s="9" t="str">
        <f>IF($K$6&lt;9," ",I16)</f>
        <v> </v>
      </c>
      <c r="K16" s="9" t="str">
        <f>IF($K$6&lt;10," ",J16)</f>
        <v> </v>
      </c>
    </row>
    <row r="17" spans="1:11" ht="15">
      <c r="A17" s="5" t="s">
        <v>13</v>
      </c>
      <c r="B17" s="10">
        <f>IF($K$6=0," ",B15*B16)</f>
        <v>1.2163581061164372</v>
      </c>
      <c r="C17" s="10">
        <f>IF($K$6=1," ",C15*C16)</f>
        <v>1.3210062877813982</v>
      </c>
      <c r="D17" s="10">
        <f>IF($K$6&lt;3," ",D15*D16)</f>
        <v>1.4346577735479347</v>
      </c>
      <c r="E17" s="10">
        <f>IF($K$6&lt;4," ",E15*E16)</f>
        <v>1.5580871538910626</v>
      </c>
      <c r="F17" s="10">
        <f>IF($K$6&lt;5," ",F15*F16)</f>
        <v>1.6921356604207882</v>
      </c>
      <c r="G17" s="10" t="str">
        <f>IF($K$6&lt;6," ",G15*G16)</f>
        <v> </v>
      </c>
      <c r="H17" s="10" t="str">
        <f>IF($K$6&lt;7," ",H15*H16)</f>
        <v> </v>
      </c>
      <c r="I17" s="10" t="str">
        <f>IF($K$6&lt;8," ",I15*I16)</f>
        <v> </v>
      </c>
      <c r="J17" s="10" t="str">
        <f>IF($K$6&lt;9," ",J15*J16)</f>
        <v> </v>
      </c>
      <c r="K17" s="10" t="str">
        <f>IF($K$6&lt;10," ",K15*K16)</f>
        <v> </v>
      </c>
    </row>
    <row r="18" spans="1:11" ht="15">
      <c r="A18" s="5" t="s">
        <v>14</v>
      </c>
      <c r="B18" s="10">
        <f>IF($K$6=0," ",B17/(1+$C$8)^B13)</f>
        <v>1.1018734542226987</v>
      </c>
      <c r="C18" s="10">
        <f>IF($K$6=1," ",C17/(1+$C$8)^C13)</f>
        <v>1.084040276000591</v>
      </c>
      <c r="D18" s="10">
        <f>IF($K$6&lt;3," ",D17/(1+$C$8)^D13)</f>
        <v>1.0664957173511596</v>
      </c>
      <c r="E18" s="10">
        <f>IF($K$6&lt;4," ",E17/(1+$C$8)^E13)</f>
        <v>1.0492351071352117</v>
      </c>
      <c r="F18" s="10">
        <f>IF($K$6&lt;5," ",F17/(1+$C$8)^F13)</f>
        <v>1.0322538498132137</v>
      </c>
      <c r="G18" s="10" t="str">
        <f>IF($K$6&lt;6," ",G17/(1+$C$8)^G13)</f>
        <v> </v>
      </c>
      <c r="H18" s="10" t="str">
        <f>IF($K$6&lt;7," ",H17/(1+$C$8)^H13)</f>
        <v> </v>
      </c>
      <c r="I18" s="10" t="str">
        <f>IF($K$6&lt;8," ",I17/(1+$C$8)^I13)</f>
        <v> </v>
      </c>
      <c r="J18" s="10" t="str">
        <f>IF($K$6&lt;9," ",J17/(1+$C$8)^J13)</f>
        <v> </v>
      </c>
      <c r="K18" s="10" t="str">
        <f>IF($K$6&lt;10," ",K17/(1+$C$8)^K13)</f>
        <v> 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3" t="s">
        <v>15</v>
      </c>
      <c r="B20" s="7"/>
      <c r="C20" s="7"/>
      <c r="D20" s="7"/>
      <c r="E20" s="7"/>
      <c r="F20" s="7"/>
      <c r="G20" s="5"/>
      <c r="H20" s="5"/>
      <c r="I20" s="5"/>
      <c r="J20" s="5"/>
      <c r="K20" s="5"/>
    </row>
    <row r="21" spans="1:11" ht="15">
      <c r="A21" s="7" t="s">
        <v>9</v>
      </c>
      <c r="B21" s="8">
        <f>IF($K$8&lt;1," ",$K$6+1)</f>
        <v>6</v>
      </c>
      <c r="C21" s="8">
        <f>IF($K$8&lt;2," ",$K$6+2)</f>
        <v>7</v>
      </c>
      <c r="D21" s="8">
        <f>IF($K$8&lt;3," ",$K$6+3)</f>
        <v>8</v>
      </c>
      <c r="E21" s="8">
        <f>IF($K$8&lt;4," ",$K$6+4)</f>
        <v>9</v>
      </c>
      <c r="F21" s="8">
        <f>IF($K$8&lt;5," ",$K$6+5)</f>
        <v>10</v>
      </c>
      <c r="G21" s="8" t="str">
        <f>IF($K$8&lt;6," ",$K$6+6)</f>
        <v> </v>
      </c>
      <c r="H21" s="8" t="str">
        <f>IF($K$8&lt;7," ",$K$6+7)</f>
        <v> </v>
      </c>
      <c r="I21" s="8" t="str">
        <f>IF($K$8&lt;8," ",$K$6+8)</f>
        <v> </v>
      </c>
      <c r="J21" s="8" t="str">
        <f>IF($K$8&lt;9," ",$K$6+9)</f>
        <v> </v>
      </c>
      <c r="K21" s="8" t="str">
        <f>IF($K$8&lt;10," ",$K$6+10)</f>
        <v> </v>
      </c>
    </row>
    <row r="22" spans="1:11" ht="15">
      <c r="A22" s="5" t="s">
        <v>10</v>
      </c>
      <c r="B22" s="9">
        <f>IF($K$8&lt;1,,(K7-((K7-K9)/K8)))</f>
        <v>0.08082721865459808</v>
      </c>
      <c r="C22" s="9">
        <f>IF($K$8&lt;2,,(B22-(($K$7-$K$9)/$K$8)))</f>
        <v>0.07562041399094856</v>
      </c>
      <c r="D22" s="9">
        <f>IF($K$8&lt;3,,(C22-(($K$7-$K$9)/$K$8)))</f>
        <v>0.07041360932729904</v>
      </c>
      <c r="E22" s="9">
        <f>IF($K$8&lt;4,,(D22-(($K$7-$K$9)/$K$8)))</f>
        <v>0.06520680466364952</v>
      </c>
      <c r="F22" s="9">
        <f>IF($K$8&lt;5,,(E22-(($K$7-$K$9)/$K$8)))</f>
        <v>0.06</v>
      </c>
      <c r="G22" s="9">
        <f>IF($K$8&lt;6,,(F22-(($K$7-$K$9)/$K$8)))</f>
        <v>0</v>
      </c>
      <c r="H22" s="9">
        <f>IF($K$8&lt;7,,(G22-(($K$7-$K$9)/$K$8)))</f>
        <v>0</v>
      </c>
      <c r="I22" s="9">
        <f>IF($K$8&lt;8,,(H22-(($K$7-$K$9)/$K$8)))</f>
        <v>0</v>
      </c>
      <c r="J22" s="9">
        <f>IF($K$8&lt;9,,(I22-(($K$7-$K$9)/$K$8)))</f>
        <v>0</v>
      </c>
      <c r="K22" s="9">
        <f>IF($K$8&lt;10,,(J22-(($K$7-$K$9)/$K$8)))</f>
        <v>0</v>
      </c>
    </row>
    <row r="23" spans="1:11" ht="15">
      <c r="A23" s="5" t="s">
        <v>11</v>
      </c>
      <c r="B23" s="11">
        <f>IF($K$8&lt;1," ",C6*(1+$K$7)^K6*(1+B22))</f>
        <v>3.510846875708529</v>
      </c>
      <c r="C23" s="11">
        <f>IF($K$8&lt;2," ",B23*(1+C22))</f>
        <v>3.776338569908437</v>
      </c>
      <c r="D23" s="11">
        <f>IF($K$8&lt;3," ",C23*(1+D22))</f>
        <v>4.042244198657581</v>
      </c>
      <c r="E23" s="11">
        <f>IF($K$8&lt;4," ",D23*(1+E22))</f>
        <v>4.305826026522217</v>
      </c>
      <c r="F23" s="11">
        <f>IF($K$8&lt;5," ",E23*(1+F22))</f>
        <v>4.56417558811355</v>
      </c>
      <c r="G23" s="11" t="str">
        <f>IF($K$8&lt;6," ",F23*(1+G22))</f>
        <v> </v>
      </c>
      <c r="H23" s="11" t="str">
        <f>IF($K$8&lt;7," ",G23*(1+H22))</f>
        <v> </v>
      </c>
      <c r="I23" s="11" t="str">
        <f>IF($K$8&lt;8," ",H23*(1+I22))</f>
        <v> </v>
      </c>
      <c r="J23" s="11" t="str">
        <f>IF($K$8&lt;9," ",I23*(1+J22))</f>
        <v> </v>
      </c>
      <c r="K23" s="11" t="str">
        <f>IF($K$8&lt;10," ",J23*(1+K22))</f>
        <v> </v>
      </c>
    </row>
    <row r="24" spans="1:11" ht="15">
      <c r="A24" s="5" t="s">
        <v>12</v>
      </c>
      <c r="B24" s="12">
        <f>IF(K8&lt;1," ",B16+((C9-B16)/K8))</f>
        <v>0.5167441860465117</v>
      </c>
      <c r="C24" s="12">
        <f>IF($K$8&lt;2," ",B24+(($C$9-B24)/$K$8))</f>
        <v>0.5133953488372094</v>
      </c>
      <c r="D24" s="12">
        <f>IF($K$8&lt;3," ",C24+(($C$9-C24)/$K$8))</f>
        <v>0.5107162790697675</v>
      </c>
      <c r="E24" s="12">
        <f>IF($K$8&lt;4," ",D24+(($C$9-D24)/$K$8))</f>
        <v>0.508573023255814</v>
      </c>
      <c r="F24" s="12">
        <f>IF($K$8&lt;5," ",E24+(($C$9-E24)/$K$8))</f>
        <v>0.5068584186046512</v>
      </c>
      <c r="G24" s="12" t="str">
        <f>IF($K$8&lt;6," ",F24+(($C$9-F24)/$K$8))</f>
        <v> </v>
      </c>
      <c r="H24" s="12" t="str">
        <f>IF($K$8&lt;7," ",G24+(($C$9-G24)/$K$8))</f>
        <v> </v>
      </c>
      <c r="I24" s="12" t="str">
        <f>IF($K$8&lt;8," ",H24+(($C$9-H24)/$K$8))</f>
        <v> </v>
      </c>
      <c r="J24" s="12" t="str">
        <f>IF($K$8&lt;9," ",I24+(($C$9-I24)/$K$8))</f>
        <v> </v>
      </c>
      <c r="K24" s="12" t="str">
        <f>IF($K$8&lt;10," ",J24+(($C$9-J24)/$K$8))</f>
        <v> </v>
      </c>
    </row>
    <row r="25" spans="1:11" ht="15">
      <c r="A25" s="5" t="s">
        <v>13</v>
      </c>
      <c r="B25" s="11">
        <f>IF($K$8&lt;1," ",B23*B24)</f>
        <v>1.8142097111219426</v>
      </c>
      <c r="C25" s="11">
        <f>IF($K$8&lt;2," ",C23*C24)</f>
        <v>1.9387546574255503</v>
      </c>
      <c r="D25" s="11">
        <f>IF($K$8&lt;3," ",D23*D24)</f>
        <v>2.064439916229754</v>
      </c>
      <c r="E25" s="11">
        <f>IF($K$8&lt;4," ",E23*E24)</f>
        <v>2.1898269599219726</v>
      </c>
      <c r="F25" s="11">
        <f>IF($K$8&lt;5," ",F23*F24)</f>
        <v>2.313390820825188</v>
      </c>
      <c r="G25" s="11" t="str">
        <f>IF($K$8&lt;6," ",G23*G24)</f>
        <v> </v>
      </c>
      <c r="H25" s="11" t="str">
        <f>IF($K$8&lt;7," ",H23*H24)</f>
        <v> </v>
      </c>
      <c r="I25" s="11" t="str">
        <f>IF($K$8&lt;8," ",I23*I24)</f>
        <v> </v>
      </c>
      <c r="J25" s="11" t="str">
        <f>IF($K$8&lt;9," ",J23*J24)</f>
        <v> </v>
      </c>
      <c r="K25" s="11" t="str">
        <f>IF($K$8&lt;10," ",K23*K24)</f>
        <v> </v>
      </c>
    </row>
    <row r="26" spans="1:11" ht="15">
      <c r="A26" s="5" t="s">
        <v>14</v>
      </c>
      <c r="B26" s="11">
        <f>IF($K$8&lt;1," ",B25/((1+$C$8)^B21))</f>
        <v>1.002557031413672</v>
      </c>
      <c r="C26" s="11">
        <f>IF($K$8&lt;2," ",C25/(1+$C$8)^C21)</f>
        <v>0.9705428639197956</v>
      </c>
      <c r="D26" s="11">
        <f>IF($K$8&lt;3," ",D25/(1+$C$8)^D21)</f>
        <v>0.9361908256554358</v>
      </c>
      <c r="E26" s="11">
        <f>IF($K$8&lt;4," ",E25/(1+$C$8)^E21)</f>
        <v>0.8995849853423761</v>
      </c>
      <c r="F26" s="11">
        <f>IF($K$8&lt;5," ",F25/(1+$C$8)^F21)</f>
        <v>0.8608979518689718</v>
      </c>
      <c r="G26" s="11" t="str">
        <f>IF($K$8&lt;6," ",G25/(1+$C$8)^G21)</f>
        <v> </v>
      </c>
      <c r="H26" s="11" t="str">
        <f>IF($K$8&lt;7," ",H25/(1+$C$8)^H21)</f>
        <v> </v>
      </c>
      <c r="I26" s="11" t="str">
        <f>IF($K$8&lt;8," ",I25/(1+$C$8)^I21)</f>
        <v> </v>
      </c>
      <c r="J26" s="11" t="str">
        <f>IF($K$8&lt;9," ",J25/(1+$C$8)^J21)</f>
        <v> </v>
      </c>
      <c r="K26" s="11" t="str">
        <f>IF($K$8&lt;10," ",K25/(1+$C$8)^K21)</f>
        <v> </v>
      </c>
    </row>
    <row r="27" spans="1:11" ht="1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5" t="s">
        <v>16</v>
      </c>
      <c r="B29" s="5"/>
      <c r="C29" s="1"/>
      <c r="D29" s="56">
        <f>C6*(1+K7)^K6*(1+B22)*(1+C22)*(1+D22)*(1+E22)*(1+F22)*(1+G22)*(1+H22)*(1+I22)*(1+J22)*(1+K22)*(1+K9)*C9/(C8-K9)</f>
        <v>55.10280322779457</v>
      </c>
      <c r="E29" s="57"/>
      <c r="F29" s="5"/>
      <c r="G29" s="5"/>
      <c r="H29" s="5"/>
      <c r="I29" s="5"/>
      <c r="J29" s="5"/>
      <c r="K29" s="5"/>
    </row>
    <row r="30" spans="1:11" ht="15">
      <c r="A30" s="5" t="s">
        <v>17</v>
      </c>
      <c r="B30" s="5"/>
      <c r="C30" s="1"/>
      <c r="D30" s="58">
        <f>SUM(B18:K18)</f>
        <v>5.333898404522874</v>
      </c>
      <c r="E30" s="59"/>
      <c r="F30" s="5"/>
      <c r="G30" s="5"/>
      <c r="H30" s="5"/>
      <c r="I30" s="5"/>
      <c r="J30" s="5"/>
      <c r="K30" s="5"/>
    </row>
    <row r="31" spans="1:11" ht="15">
      <c r="A31" s="5" t="s">
        <v>18</v>
      </c>
      <c r="B31" s="5"/>
      <c r="C31" s="1"/>
      <c r="D31" s="58">
        <f>SUM(B26:K26)</f>
        <v>4.669773658200252</v>
      </c>
      <c r="E31" s="59"/>
      <c r="F31" s="5"/>
      <c r="G31" s="5"/>
      <c r="H31" s="5"/>
      <c r="I31" s="5"/>
      <c r="J31" s="5"/>
      <c r="K31" s="5"/>
    </row>
    <row r="32" spans="1:11" ht="15">
      <c r="A32" s="5" t="s">
        <v>19</v>
      </c>
      <c r="B32" s="5"/>
      <c r="C32" s="1"/>
      <c r="D32" s="56">
        <f>D29/(1+C8)^(K6+K8)</f>
        <v>20.505783118879233</v>
      </c>
      <c r="E32" s="57"/>
      <c r="F32" s="5"/>
      <c r="G32" s="5"/>
      <c r="H32" s="5"/>
      <c r="I32" s="5"/>
      <c r="J32" s="5"/>
      <c r="K32" s="5"/>
    </row>
    <row r="33" spans="1:11" ht="15">
      <c r="A33" s="5"/>
      <c r="B33" s="5"/>
      <c r="C33" s="1"/>
      <c r="D33" s="5"/>
      <c r="E33" s="5"/>
      <c r="F33" s="5"/>
      <c r="G33" s="5"/>
      <c r="H33" s="5"/>
      <c r="I33" s="5"/>
      <c r="J33" s="5"/>
      <c r="K33" s="5"/>
    </row>
    <row r="34" spans="1:11" ht="15">
      <c r="A34" s="5" t="s">
        <v>20</v>
      </c>
      <c r="B34" s="5"/>
      <c r="C34" s="1"/>
      <c r="D34" s="54">
        <f>SUM(D30:D32)</f>
        <v>30.50945518160236</v>
      </c>
      <c r="E34" s="55"/>
      <c r="F34" s="5"/>
      <c r="G34" s="5"/>
      <c r="H34" s="5"/>
      <c r="I34" s="5"/>
      <c r="J34" s="5"/>
      <c r="K34" s="5"/>
    </row>
  </sheetData>
  <sheetProtection/>
  <mergeCells count="6">
    <mergeCell ref="A1:K2"/>
    <mergeCell ref="D34:E34"/>
    <mergeCell ref="D32:E32"/>
    <mergeCell ref="D31:E31"/>
    <mergeCell ref="D30:E30"/>
    <mergeCell ref="D29:E29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0" sqref="A30:E31"/>
    </sheetView>
  </sheetViews>
  <sheetFormatPr defaultColWidth="9.140625" defaultRowHeight="15"/>
  <cols>
    <col min="1" max="10" width="11.421875" style="0" customWidth="1"/>
  </cols>
  <sheetData>
    <row r="1" spans="1:5" ht="15.75">
      <c r="A1" s="32" t="s">
        <v>28</v>
      </c>
      <c r="B1" s="24"/>
      <c r="C1" s="24"/>
      <c r="D1" s="24"/>
      <c r="E1" s="24"/>
    </row>
    <row r="2" spans="1:5" ht="15">
      <c r="A2" s="24" t="s">
        <v>35</v>
      </c>
      <c r="B2" s="24"/>
      <c r="C2" s="24"/>
      <c r="D2" s="37"/>
      <c r="E2" s="38">
        <v>0.16</v>
      </c>
    </row>
    <row r="3" spans="1:5" ht="15">
      <c r="A3" s="24"/>
      <c r="B3" s="24"/>
      <c r="C3" s="24"/>
      <c r="D3" s="37"/>
      <c r="E3" s="37"/>
    </row>
    <row r="4" spans="1:5" ht="15.75">
      <c r="A4" s="32" t="s">
        <v>26</v>
      </c>
      <c r="B4" s="24"/>
      <c r="C4" s="24"/>
      <c r="D4" s="37"/>
      <c r="E4" s="37"/>
    </row>
    <row r="5" spans="1:5" ht="15">
      <c r="A5" s="24" t="s">
        <v>27</v>
      </c>
      <c r="B5" s="24"/>
      <c r="C5" s="24"/>
      <c r="D5" s="37"/>
      <c r="E5" s="39">
        <v>0.33</v>
      </c>
    </row>
    <row r="6" spans="1:5" ht="15">
      <c r="A6" s="24"/>
      <c r="B6" s="24"/>
      <c r="C6" s="24"/>
      <c r="D6" s="37"/>
      <c r="E6" s="37"/>
    </row>
    <row r="7" spans="1:5" ht="15.75">
      <c r="A7" s="32" t="s">
        <v>29</v>
      </c>
      <c r="B7" s="24"/>
      <c r="C7" s="24"/>
      <c r="D7" s="37"/>
      <c r="E7" s="37"/>
    </row>
    <row r="8" spans="1:5" ht="15">
      <c r="A8" s="24" t="s">
        <v>31</v>
      </c>
      <c r="B8" s="24"/>
      <c r="C8" s="24"/>
      <c r="D8" s="37"/>
      <c r="E8" s="39">
        <v>1.12</v>
      </c>
    </row>
    <row r="9" spans="1:5" ht="15">
      <c r="A9" s="24" t="s">
        <v>43</v>
      </c>
      <c r="B9" s="24"/>
      <c r="C9" s="24"/>
      <c r="D9" s="37"/>
      <c r="E9" s="39">
        <v>0</v>
      </c>
    </row>
    <row r="10" spans="1:5" ht="15">
      <c r="A10" s="24" t="s">
        <v>32</v>
      </c>
      <c r="B10" s="24"/>
      <c r="C10" s="24"/>
      <c r="D10" s="37"/>
      <c r="E10" s="39">
        <v>4.63</v>
      </c>
    </row>
    <row r="11" spans="1:5" ht="15">
      <c r="A11" s="36" t="s">
        <v>30</v>
      </c>
      <c r="B11" s="24"/>
      <c r="C11" s="24"/>
      <c r="D11" s="37"/>
      <c r="E11" s="37"/>
    </row>
    <row r="12" spans="1:5" ht="15">
      <c r="A12" s="24" t="s">
        <v>33</v>
      </c>
      <c r="B12" s="24"/>
      <c r="C12" s="24"/>
      <c r="D12" s="37"/>
      <c r="E12" s="40">
        <f>IF(E10&gt;0,E8/E10,NA)</f>
        <v>0.24190064794816418</v>
      </c>
    </row>
    <row r="13" spans="1:5" ht="15">
      <c r="A13" s="24" t="s">
        <v>34</v>
      </c>
      <c r="B13" s="24"/>
      <c r="C13" s="24"/>
      <c r="D13" s="37"/>
      <c r="E13" s="40">
        <f>1-(E9/E8)</f>
        <v>1</v>
      </c>
    </row>
    <row r="14" spans="1:5" ht="15">
      <c r="A14" s="24"/>
      <c r="B14" s="24"/>
      <c r="C14" s="24"/>
      <c r="D14" s="37"/>
      <c r="E14" s="37"/>
    </row>
    <row r="15" spans="1:5" ht="15">
      <c r="A15" s="24"/>
      <c r="B15" s="24"/>
      <c r="C15" s="24"/>
      <c r="D15" s="41" t="s">
        <v>10</v>
      </c>
      <c r="E15" s="41" t="s">
        <v>39</v>
      </c>
    </row>
    <row r="16" spans="1:5" ht="15">
      <c r="A16" s="24" t="s">
        <v>36</v>
      </c>
      <c r="B16" s="24"/>
      <c r="C16" s="24"/>
      <c r="D16" s="40">
        <f>E2</f>
        <v>0.16</v>
      </c>
      <c r="E16" s="42">
        <v>0.7</v>
      </c>
    </row>
    <row r="17" spans="1:6" ht="15">
      <c r="A17" s="24" t="s">
        <v>37</v>
      </c>
      <c r="B17" s="24"/>
      <c r="C17" s="24"/>
      <c r="D17" s="43">
        <f>(E8/E5)^(0.2)-1</f>
        <v>0.2768527511270358</v>
      </c>
      <c r="E17" s="42">
        <v>0.15</v>
      </c>
      <c r="F17" s="15"/>
    </row>
    <row r="18" spans="1:6" ht="15">
      <c r="A18" s="24" t="s">
        <v>38</v>
      </c>
      <c r="B18" s="24"/>
      <c r="C18" s="24"/>
      <c r="D18" s="40">
        <f>IF(E12="NA",0,E12*E13)</f>
        <v>0.24190064794816418</v>
      </c>
      <c r="E18" s="42">
        <v>0.15</v>
      </c>
      <c r="F18" s="15"/>
    </row>
    <row r="19" spans="1:6" ht="15">
      <c r="A19" s="36" t="s">
        <v>40</v>
      </c>
      <c r="B19" s="24"/>
      <c r="C19" s="24"/>
      <c r="D19" s="40">
        <f>SUMPRODUCT(D16:D18,E16:E18)</f>
        <v>0.18981300986127997</v>
      </c>
      <c r="E19" s="37"/>
      <c r="F19" s="16"/>
    </row>
    <row r="20" spans="1:5" ht="15">
      <c r="A20" s="36"/>
      <c r="B20" s="24"/>
      <c r="C20" s="24"/>
      <c r="D20" s="37"/>
      <c r="E20" s="37"/>
    </row>
    <row r="21" spans="1:5" ht="15.75">
      <c r="A21" s="32" t="s">
        <v>41</v>
      </c>
      <c r="B21" s="24"/>
      <c r="C21" s="24"/>
      <c r="D21" s="37"/>
      <c r="E21" s="37"/>
    </row>
    <row r="22" spans="1:5" ht="15">
      <c r="A22" s="36" t="s">
        <v>42</v>
      </c>
      <c r="B22" s="24"/>
      <c r="C22" s="24"/>
      <c r="D22" s="37"/>
      <c r="E22" s="37"/>
    </row>
    <row r="23" spans="1:5" ht="15">
      <c r="A23" s="24" t="s">
        <v>22</v>
      </c>
      <c r="B23" s="24"/>
      <c r="C23" s="24"/>
      <c r="D23" s="38">
        <v>0.0456</v>
      </c>
      <c r="E23" s="37"/>
    </row>
    <row r="24" spans="1:5" ht="15">
      <c r="A24" s="24" t="s">
        <v>23</v>
      </c>
      <c r="B24" s="24"/>
      <c r="C24" s="24"/>
      <c r="D24" s="38">
        <v>0.053</v>
      </c>
      <c r="E24" s="37"/>
    </row>
    <row r="25" spans="1:5" ht="15">
      <c r="A25" s="24" t="s">
        <v>24</v>
      </c>
      <c r="B25" s="24"/>
      <c r="C25" s="24"/>
      <c r="D25" s="42">
        <v>1.8</v>
      </c>
      <c r="E25" s="37"/>
    </row>
    <row r="26" spans="1:5" ht="15">
      <c r="A26" s="24"/>
      <c r="B26" s="24"/>
      <c r="C26" s="24"/>
      <c r="D26" s="37"/>
      <c r="E26" s="37"/>
    </row>
    <row r="27" spans="1:5" ht="15">
      <c r="A27" s="24" t="s">
        <v>25</v>
      </c>
      <c r="B27" s="24"/>
      <c r="C27" s="24"/>
      <c r="D27" s="40">
        <f>D23+(D25*(D24))</f>
        <v>0.14100000000000001</v>
      </c>
      <c r="E27" s="37"/>
    </row>
    <row r="28" spans="1:5" ht="15">
      <c r="A28" s="24"/>
      <c r="B28" s="24"/>
      <c r="C28" s="24"/>
      <c r="D28" s="24"/>
      <c r="E28" s="24"/>
    </row>
    <row r="29" spans="1:5" ht="15">
      <c r="A29" s="24"/>
      <c r="B29" s="24"/>
      <c r="C29" s="24"/>
      <c r="D29" s="24"/>
      <c r="E29" s="24"/>
    </row>
    <row r="30" spans="1:5" ht="15">
      <c r="A30" s="52" t="s">
        <v>54</v>
      </c>
      <c r="B30" s="52"/>
      <c r="C30" s="52"/>
      <c r="D30" s="52"/>
      <c r="E30" s="52"/>
    </row>
    <row r="31" spans="1:5" ht="15">
      <c r="A31" s="52"/>
      <c r="B31" s="52"/>
      <c r="C31" s="52"/>
      <c r="D31" s="52"/>
      <c r="E31" s="52"/>
    </row>
    <row r="32" spans="1:5" ht="15">
      <c r="A32" s="24"/>
      <c r="B32" s="24"/>
      <c r="C32" s="24"/>
      <c r="D32" s="24"/>
      <c r="E32" s="24"/>
    </row>
    <row r="33" spans="1:5" ht="15">
      <c r="A33" s="24"/>
      <c r="B33" s="24"/>
      <c r="C33" s="24"/>
      <c r="D33" s="24"/>
      <c r="E33" s="24"/>
    </row>
    <row r="34" spans="1:5" ht="15">
      <c r="A34" s="24"/>
      <c r="B34" s="24"/>
      <c r="C34" s="24"/>
      <c r="D34" s="24"/>
      <c r="E34" s="24"/>
    </row>
  </sheetData>
  <sheetProtection/>
  <mergeCells count="1">
    <mergeCell ref="A30:E3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K2"/>
    </sheetView>
  </sheetViews>
  <sheetFormatPr defaultColWidth="9.140625" defaultRowHeight="15"/>
  <cols>
    <col min="1" max="1" width="28.28125" style="0" customWidth="1"/>
  </cols>
  <sheetData>
    <row r="1" spans="1:13" ht="15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9"/>
      <c r="M1" s="19"/>
    </row>
    <row r="2" spans="1:1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9"/>
      <c r="M2" s="19"/>
    </row>
    <row r="3" ht="15" hidden="1"/>
    <row r="4" spans="4:11" ht="15">
      <c r="D4" s="24"/>
      <c r="E4" s="24"/>
      <c r="F4" s="24"/>
      <c r="G4" s="24"/>
      <c r="H4" s="24"/>
      <c r="I4" s="24"/>
      <c r="J4" s="24"/>
      <c r="K4" s="24"/>
    </row>
    <row r="5" spans="4:11" ht="15" hidden="1">
      <c r="D5" s="24"/>
      <c r="E5" s="24"/>
      <c r="F5" s="24"/>
      <c r="G5" s="24"/>
      <c r="H5" s="24"/>
      <c r="I5" s="24"/>
      <c r="J5" s="24"/>
      <c r="K5" s="24"/>
    </row>
    <row r="6" spans="1:4" ht="15.75">
      <c r="A6" s="32" t="s">
        <v>0</v>
      </c>
      <c r="B6" s="24"/>
      <c r="C6" s="32" t="s">
        <v>62</v>
      </c>
      <c r="D6" s="24"/>
    </row>
    <row r="7" spans="1:11" ht="15">
      <c r="A7" s="24"/>
      <c r="B7" s="24"/>
      <c r="C7" s="24"/>
      <c r="E7" s="17" t="s">
        <v>50</v>
      </c>
      <c r="F7" s="24"/>
      <c r="G7" s="17"/>
      <c r="H7" s="17"/>
      <c r="I7" s="24"/>
      <c r="J7" s="24"/>
      <c r="K7" s="47">
        <v>5</v>
      </c>
    </row>
    <row r="8" spans="1:11" ht="15">
      <c r="A8" s="23" t="s">
        <v>1</v>
      </c>
      <c r="B8" s="24"/>
      <c r="C8" s="44">
        <f>Sheet3!E8</f>
        <v>1.12</v>
      </c>
      <c r="D8" s="24"/>
      <c r="E8" s="18" t="s">
        <v>4</v>
      </c>
      <c r="F8" s="24"/>
      <c r="G8" s="18"/>
      <c r="H8" s="18"/>
      <c r="I8" s="24"/>
      <c r="J8" s="24"/>
      <c r="K8" s="45">
        <f>Sheet3!D19</f>
        <v>0.18981300986127997</v>
      </c>
    </row>
    <row r="9" spans="1:11" ht="15">
      <c r="A9" s="23" t="s">
        <v>45</v>
      </c>
      <c r="B9" s="24"/>
      <c r="C9" s="51">
        <v>0.76</v>
      </c>
      <c r="E9" s="17" t="s">
        <v>51</v>
      </c>
      <c r="F9" s="24"/>
      <c r="G9" s="17"/>
      <c r="H9" s="17"/>
      <c r="I9" s="24"/>
      <c r="J9" s="24"/>
      <c r="K9" s="48">
        <v>10</v>
      </c>
    </row>
    <row r="10" spans="1:11" ht="15">
      <c r="A10" s="23" t="s">
        <v>46</v>
      </c>
      <c r="C10" s="51">
        <v>0.36</v>
      </c>
      <c r="D10" s="24"/>
      <c r="E10" s="17" t="s">
        <v>7</v>
      </c>
      <c r="F10" s="24"/>
      <c r="G10" s="17"/>
      <c r="H10" s="17"/>
      <c r="I10" s="24"/>
      <c r="J10" s="24"/>
      <c r="K10" s="46">
        <v>0.07</v>
      </c>
    </row>
    <row r="11" spans="1:11" ht="15">
      <c r="A11" s="23" t="s">
        <v>47</v>
      </c>
      <c r="B11" s="24"/>
      <c r="C11" s="51">
        <v>0.52</v>
      </c>
      <c r="E11" s="18" t="s">
        <v>49</v>
      </c>
      <c r="F11" s="24"/>
      <c r="G11" s="18"/>
      <c r="H11" s="18"/>
      <c r="I11" s="24"/>
      <c r="J11" s="24"/>
      <c r="K11" s="49">
        <v>0.2036</v>
      </c>
    </row>
    <row r="12" spans="1:11" ht="15">
      <c r="A12" s="23" t="s">
        <v>48</v>
      </c>
      <c r="C12" s="45">
        <f>Sheet3!D27</f>
        <v>0.14100000000000001</v>
      </c>
      <c r="D12" s="24"/>
      <c r="F12" s="24"/>
      <c r="G12" s="24"/>
      <c r="H12" s="24"/>
      <c r="I12" s="24"/>
      <c r="J12" s="24"/>
      <c r="K12" s="24"/>
    </row>
    <row r="13" spans="2:11" ht="15">
      <c r="B13" s="24"/>
      <c r="D13" s="24"/>
      <c r="E13" s="24"/>
      <c r="F13" s="24"/>
      <c r="G13" s="24"/>
      <c r="H13" s="24"/>
      <c r="I13" s="24"/>
      <c r="J13" s="24"/>
      <c r="K13" s="24"/>
    </row>
    <row r="14" spans="1:11" ht="15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32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24" t="s">
        <v>9</v>
      </c>
      <c r="B16" s="26">
        <f>IF(K7=0," ",1)</f>
        <v>1</v>
      </c>
      <c r="C16" s="26">
        <f>IF(K7=1," ",2)</f>
        <v>2</v>
      </c>
      <c r="D16" s="26">
        <f>IF(K7&lt;3," ",3)</f>
        <v>3</v>
      </c>
      <c r="E16" s="26">
        <f>IF(K7&lt;4," ",4)</f>
        <v>4</v>
      </c>
      <c r="F16" s="26">
        <f>IF(K7&lt;5," ",5)</f>
        <v>5</v>
      </c>
      <c r="G16" s="26" t="str">
        <f>IF(K7&lt;6," ",6)</f>
        <v> </v>
      </c>
      <c r="H16" s="26" t="str">
        <f>IF(K7&lt;7," ",7)</f>
        <v> </v>
      </c>
      <c r="I16" s="26" t="str">
        <f>IF(K7&lt;8," ",8)</f>
        <v> </v>
      </c>
      <c r="J16" s="26" t="str">
        <f>IF(K7&lt;9," ",9)</f>
        <v> </v>
      </c>
      <c r="K16" s="26" t="str">
        <f>IF(K7&lt;10," ",10)</f>
        <v> </v>
      </c>
    </row>
    <row r="17" spans="1:11" ht="15">
      <c r="A17" s="17" t="s">
        <v>11</v>
      </c>
      <c r="B17" s="27">
        <f>IF($K$7=0," ",C8*(1+$K$8)^B16)</f>
        <v>1.3325905710446337</v>
      </c>
      <c r="C17" s="27">
        <f>IF($K$7=1," ",$C$8*(1+$K$8)^C16)</f>
        <v>1.5855335982473777</v>
      </c>
      <c r="D17" s="27">
        <f>IF($K$7&lt;3," ",$C$8*(1+$K$8)^D16)</f>
        <v>1.886488502766898</v>
      </c>
      <c r="E17" s="27">
        <f>IF($K$7&lt;4," ",$C$8*(1+$K$8)^E16)</f>
        <v>2.244568563545783</v>
      </c>
      <c r="F17" s="27">
        <f>IF($K$7&lt;5," ",$C$8*(1+$K$8)^F16)</f>
        <v>2.670616878432418</v>
      </c>
      <c r="G17" s="27" t="str">
        <f>IF($K$7&lt;6," ",$C$8*(1+$K$8)^G16)</f>
        <v> </v>
      </c>
      <c r="H17" s="27" t="str">
        <f>IF($K$7&lt;7," ",$C$8*(1+$K$8)^H16)</f>
        <v> </v>
      </c>
      <c r="I17" s="27" t="str">
        <f>IF($K$7&lt;8," ",$C$8*(1+$K$8)^I16)</f>
        <v> </v>
      </c>
      <c r="J17" s="27" t="str">
        <f>IF($K$7&lt;9," ",$C$8*(1+$K$8)^J16)</f>
        <v> </v>
      </c>
      <c r="K17" s="27" t="str">
        <f>IF($K$7&lt;10," ",$C$8*(1+$K$8)^K16)</f>
        <v> </v>
      </c>
    </row>
    <row r="18" spans="1:11" ht="15">
      <c r="A18" s="17" t="s">
        <v>52</v>
      </c>
      <c r="B18" s="28">
        <f>IF($K$7&lt;B16,0,($C$9*(1+$K$8)^B16-$C$10*(1+$K$8)^B16)*(1-K11))</f>
        <v>0.3790268324214094</v>
      </c>
      <c r="C18" s="29">
        <f aca="true" t="shared" si="0" ref="C18:K18">IF($K$7&lt;C16," ",($C$9*(1+$K$8)^C16-$C$10*(1+$K$8)^C16)*(1-$K$11))</f>
        <v>0.4509710563015042</v>
      </c>
      <c r="D18" s="29">
        <f t="shared" si="0"/>
        <v>0.5365712298584134</v>
      </c>
      <c r="E18" s="29">
        <f t="shared" si="0"/>
        <v>0.6384194300028077</v>
      </c>
      <c r="F18" s="29">
        <f t="shared" si="0"/>
        <v>0.7595997435655633</v>
      </c>
      <c r="G18" s="29" t="str">
        <f t="shared" si="0"/>
        <v> </v>
      </c>
      <c r="H18" s="29" t="str">
        <f t="shared" si="0"/>
        <v> </v>
      </c>
      <c r="I18" s="29" t="str">
        <f t="shared" si="0"/>
        <v> </v>
      </c>
      <c r="J18" s="29" t="str">
        <f t="shared" si="0"/>
        <v> </v>
      </c>
      <c r="K18" s="29" t="str">
        <f t="shared" si="0"/>
        <v> </v>
      </c>
    </row>
    <row r="19" spans="1:11" ht="15">
      <c r="A19" s="17" t="s">
        <v>53</v>
      </c>
      <c r="B19" s="28">
        <f>IF($K$7&lt;B16," ",(($C$11*(1+$K$8)^B16)*(1-$K$11)))</f>
        <v>0.4927348821478322</v>
      </c>
      <c r="C19" s="28">
        <f>IF($K$7&lt;C16," ",(($C$11*(1+$K$8)^C16)*(1-$K$11)))</f>
        <v>0.5862623731919554</v>
      </c>
      <c r="D19" s="28">
        <f>IF($K$7&lt;D16," ",($C$11*(1+$K$8)^D16)*(1-$K$11))</f>
        <v>0.6975425988159374</v>
      </c>
      <c r="E19" s="28">
        <f aca="true" t="shared" si="1" ref="E19:K19">IF($K$7&lt;E16," ",(($C$11*(1+$K$8)^E16)*(1-$K$11)))</f>
        <v>0.82994525900365</v>
      </c>
      <c r="F19" s="28">
        <f t="shared" si="1"/>
        <v>0.9874796666352322</v>
      </c>
      <c r="G19" s="28" t="str">
        <f t="shared" si="1"/>
        <v> </v>
      </c>
      <c r="H19" s="28" t="str">
        <f t="shared" si="1"/>
        <v> </v>
      </c>
      <c r="I19" s="28" t="str">
        <f t="shared" si="1"/>
        <v> </v>
      </c>
      <c r="J19" s="28" t="str">
        <f t="shared" si="1"/>
        <v> </v>
      </c>
      <c r="K19" s="28" t="str">
        <f t="shared" si="1"/>
        <v> </v>
      </c>
    </row>
    <row r="20" spans="1:11" ht="15">
      <c r="A20" s="17" t="s">
        <v>54</v>
      </c>
      <c r="B20" s="29">
        <f>IF($K$7=0," ",B17-B18-B19)</f>
        <v>0.4608288564753921</v>
      </c>
      <c r="C20" s="29">
        <f>IF($K$7=1," ",C17-C18-C19)</f>
        <v>0.5483001687539182</v>
      </c>
      <c r="D20" s="29">
        <f>IF($K$7&lt;3," ",D17-D18-D19)</f>
        <v>0.6523746740925473</v>
      </c>
      <c r="E20" s="29">
        <f>IF($K$7&lt;4," ",E17-E18-E19)</f>
        <v>0.7762038745393254</v>
      </c>
      <c r="F20" s="29">
        <f>IF($K$7&lt;5," ",F17-F18-F19)</f>
        <v>0.9235374682316223</v>
      </c>
      <c r="G20" s="29" t="str">
        <f>IF($K$7&lt;6," ",G17-G18-G19)</f>
        <v> </v>
      </c>
      <c r="H20" s="29" t="str">
        <f>IF($K$7&lt;7," ",H17-H18-H19)</f>
        <v> </v>
      </c>
      <c r="I20" s="29" t="str">
        <f>IF($K$7&lt;8," ",I17-I18-I19)</f>
        <v> </v>
      </c>
      <c r="J20" s="29" t="str">
        <f>IF($K$7&lt;9," ",J17-J18-J19)</f>
        <v> </v>
      </c>
      <c r="K20" s="29" t="str">
        <f>IF($K$7&lt;10," ",K17-K18-K19)</f>
        <v> </v>
      </c>
    </row>
    <row r="21" spans="1:11" ht="15">
      <c r="A21" s="17" t="s">
        <v>14</v>
      </c>
      <c r="B21" s="29">
        <f>IF($K$7=0," ",B20/(1+$C$12)^B16)</f>
        <v>0.40388155694600536</v>
      </c>
      <c r="C21" s="29">
        <f>IF($K$7=1," ",C20/(1+$C$12)^C16)</f>
        <v>0.4211599744937657</v>
      </c>
      <c r="D21" s="29">
        <f>IF($K$7&lt;3," ",D20/(1+$C$12)^D16)</f>
        <v>0.4391775783396384</v>
      </c>
      <c r="E21" s="29">
        <f>IF($K$7&lt;4," ",E20/(1+$C$12)^E16)</f>
        <v>0.45796599154064266</v>
      </c>
      <c r="F21" s="29">
        <f>IF($K$7&lt;5," ",F20/(1+$C$12)^F16)</f>
        <v>0.4775581900167201</v>
      </c>
      <c r="G21" s="29" t="str">
        <f>IF($K$7&lt;6," ",G20/(1+$C$12)^G16)</f>
        <v> </v>
      </c>
      <c r="H21" s="29" t="str">
        <f>IF($K$7&lt;7," ",H20/(1+$C$12)^H16)</f>
        <v> </v>
      </c>
      <c r="I21" s="29" t="str">
        <f>IF($K$7&lt;8," ",I20/(1+$C$12)^I16)</f>
        <v> </v>
      </c>
      <c r="J21" s="29" t="str">
        <f>IF($K$7&lt;9," ",J20/(1+$C$12)^J16)</f>
        <v> </v>
      </c>
      <c r="K21" s="29" t="str">
        <f>IF($K$7&lt;10," ",K20/(1+$C$12)^K16)</f>
        <v> </v>
      </c>
    </row>
    <row r="22" spans="1:11" ht="15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>
      <c r="A23" s="32" t="s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>
      <c r="A24" s="24" t="s">
        <v>9</v>
      </c>
      <c r="B24" s="26">
        <f>IF($K$9&lt;1," ",$K$7+1)</f>
        <v>6</v>
      </c>
      <c r="C24" s="26">
        <f>IF($K$9&lt;2," ",$K$7+2)</f>
        <v>7</v>
      </c>
      <c r="D24" s="26">
        <f>IF($K$9&lt;3," ",$K$7+3)</f>
        <v>8</v>
      </c>
      <c r="E24" s="26">
        <f>IF($K$9&lt;4," ",$K$7+4)</f>
        <v>9</v>
      </c>
      <c r="F24" s="26">
        <f>IF($K$9&lt;5," ",$K$7+5)</f>
        <v>10</v>
      </c>
      <c r="G24" s="26">
        <f>IF($K$9&lt;6," ",$K$7+6)</f>
        <v>11</v>
      </c>
      <c r="H24" s="26">
        <f>IF($K$9&lt;7," ",$K$7+7)</f>
        <v>12</v>
      </c>
      <c r="I24" s="26">
        <f>IF($K$9&lt;8," ",$K$7+8)</f>
        <v>13</v>
      </c>
      <c r="J24" s="26">
        <f>IF($K$9&lt;9," ",$K$7+9)</f>
        <v>14</v>
      </c>
      <c r="K24" s="26">
        <f>IF($K$9&lt;10," ",$K$7+10)</f>
        <v>15</v>
      </c>
    </row>
    <row r="25" spans="1:11" ht="15">
      <c r="A25" s="23" t="s">
        <v>10</v>
      </c>
      <c r="B25" s="30">
        <f>IF($K$7&lt;1,,(K8-((K8-K10)/K9)))</f>
        <v>0.17783170887515198</v>
      </c>
      <c r="C25" s="30">
        <f>IF($K$9&lt;2,,(B25-(($K$8-$K$10)/$K$9)))</f>
        <v>0.165850407889024</v>
      </c>
      <c r="D25" s="30">
        <f>IF($K$9&lt;3,,(C25-(($K$8-$K$10)/$K$9)))</f>
        <v>0.153869106902896</v>
      </c>
      <c r="E25" s="30">
        <f>IF($K$9&lt;4,,(D25-(($K$8-$K$10)/$K$9)))</f>
        <v>0.14188780591676803</v>
      </c>
      <c r="F25" s="30">
        <f>IF($K$9&lt;5,,(E25-(($K$8-$K$10)/$K$9)))</f>
        <v>0.12990650493064004</v>
      </c>
      <c r="G25" s="30">
        <f>IF($K$9&lt;6,,(F25-(($K$8-$K$10)/$K$9)))</f>
        <v>0.11792520394451204</v>
      </c>
      <c r="H25" s="30">
        <f>IF($K$9&lt;7,,(G25-(($K$8-$K$10)/$K$9)))</f>
        <v>0.10594390295838405</v>
      </c>
      <c r="I25" s="30">
        <f>IF($K$9&lt;8,,(H25-(($K$8-$K$10)/$K$9)))</f>
        <v>0.09396260197225605</v>
      </c>
      <c r="J25" s="30">
        <f>IF($K$9&lt;9,,(I25-(($K$8-$K$10)/$K$9)))</f>
        <v>0.08198130098612805</v>
      </c>
      <c r="K25" s="30">
        <f>IF($K$9&lt;10,,(J25-(($K$8-$K$10)/$K$9)))</f>
        <v>0.07000000000000005</v>
      </c>
    </row>
    <row r="26" spans="1:11" ht="15">
      <c r="A26" s="23" t="s">
        <v>11</v>
      </c>
      <c r="B26" s="29">
        <f>IF($K$9&lt;1," ",C8*(1+$K$8)^K7*(1+B25))</f>
        <v>3.145537241674879</v>
      </c>
      <c r="C26" s="31">
        <f>IF($K$9&lt;2," ",B26*(1+C25))</f>
        <v>3.6672258762367727</v>
      </c>
      <c r="D26" s="29">
        <f>IF($K$9&lt;3," ",C26*(1+D25))</f>
        <v>4.231498646624516</v>
      </c>
      <c r="E26" s="29">
        <f>IF($K$9&lt;4," ",D26*(1+E25))</f>
        <v>4.831896705333842</v>
      </c>
      <c r="F26" s="29">
        <f>IF($K$9&lt;5," ",E26*(1+F25))</f>
        <v>5.459591518509637</v>
      </c>
      <c r="G26" s="29">
        <f>IF($K$9&lt;6," ",F26*(1+G25))</f>
        <v>6.1034149617836135</v>
      </c>
      <c r="H26" s="29">
        <f>IF($K$9&lt;7," ",G26*(1+H25))</f>
        <v>6.750034564209566</v>
      </c>
      <c r="I26" s="29">
        <f>IF($K$9&lt;8," ",H26*(1+I25))</f>
        <v>7.38428537526536</v>
      </c>
      <c r="J26" s="29">
        <f>IF($K$9&lt;9," ",I26*(1+J25))</f>
        <v>7.9896586971824535</v>
      </c>
      <c r="K26" s="29">
        <f>IF($K$9&lt;10," ",J26*(1+K25))</f>
        <v>8.548934805985226</v>
      </c>
    </row>
    <row r="27" spans="1:11" ht="15">
      <c r="A27" s="17" t="s">
        <v>52</v>
      </c>
      <c r="B27" s="29">
        <f>(IF($K$9&lt;1,0,($C$9*(1+$K$8)^K7*(1+B25)-$C$10*(1+$K$8)^K7*(1+B25))*(1-$K$11)))</f>
        <v>0.8946806640249545</v>
      </c>
      <c r="C27" s="29">
        <f>IF($K$9&lt;2,0,B27*(1+C25))</f>
        <v>1.043063817083916</v>
      </c>
      <c r="D27" s="29">
        <f>IF($K$9&lt;3,0,C27*(1+D25))</f>
        <v>1.2035591150613438</v>
      </c>
      <c r="E27" s="29">
        <f>IF($K$9&lt;4,0,D27*(1+E25))</f>
        <v>1.3743294771885248</v>
      </c>
      <c r="F27" s="29">
        <f>IF($K$9&lt;5,0,E27*(1+F25))</f>
        <v>1.55286381619324</v>
      </c>
      <c r="G27" s="29">
        <f>IF($K$9&lt;6,0,F27*(1+G25))</f>
        <v>1.735985598415881</v>
      </c>
      <c r="H27" s="29">
        <f>IF($K$9&lt;7,0,G27*(1+H25))</f>
        <v>1.9199026881916053</v>
      </c>
      <c r="I27" s="29">
        <f>IF($K$9&lt;8,0,H27*(1+I25))</f>
        <v>2.100301740307618</v>
      </c>
      <c r="J27" s="29">
        <f>IF($K$9&lt;9,0,I27*(1+J25))</f>
        <v>2.2724872094414654</v>
      </c>
      <c r="K27" s="29">
        <f>IF($K$9&lt;10,0,J27*(1+K25))</f>
        <v>2.431561314102368</v>
      </c>
    </row>
    <row r="28" spans="1:11" ht="15">
      <c r="A28" s="17" t="s">
        <v>53</v>
      </c>
      <c r="B28" s="29">
        <f>IF($K$9&lt;1,0,(C11*(1+K8)^(K7*(1+B25)))*(1-K11))</f>
        <v>1.1524993912154895</v>
      </c>
      <c r="C28" s="29">
        <f>IF($K$9&lt;2,0,B28*(1+C25))</f>
        <v>1.3436418853404302</v>
      </c>
      <c r="D28" s="29">
        <f>IF($K$9&lt;3,0,C28*(1+D25))</f>
        <v>1.5503868622350858</v>
      </c>
      <c r="E28" s="29">
        <f>IF($K$9&lt;4,0,D28*(1+E25))</f>
        <v>1.7703678524398048</v>
      </c>
      <c r="F28" s="29">
        <f>IF($K$9&lt;5,0,E28*(1+F25))</f>
        <v>2.000350152591823</v>
      </c>
      <c r="G28" s="29">
        <f>IF($K$9&lt;6,0,F28*(1+G25))</f>
        <v>2.2362418522966494</v>
      </c>
      <c r="H28" s="29">
        <f>IF($K$9&lt;7,0,G28*(1+H25))</f>
        <v>2.4731580420878423</v>
      </c>
      <c r="I28" s="29">
        <f>IF($K$9&lt;8,0,H28*(1+I25))</f>
        <v>2.7055424068110265</v>
      </c>
      <c r="J28" s="29">
        <f>IF($K$9&lt;9,0,I28*(1+J25))</f>
        <v>2.927346293194535</v>
      </c>
      <c r="K28" s="29">
        <f>IF($K$9&lt;10,0,J28*(1+K25))</f>
        <v>3.1322605337181524</v>
      </c>
    </row>
    <row r="29" spans="1:11" ht="15">
      <c r="A29" s="17" t="s">
        <v>54</v>
      </c>
      <c r="B29" s="29">
        <f>IF($K$9&lt;1," ",B26-B27-B28)</f>
        <v>1.0983571864344346</v>
      </c>
      <c r="C29" s="29">
        <f>IF($K$9&lt;2," ",C26-C27-C28)</f>
        <v>1.2805201738124268</v>
      </c>
      <c r="D29" s="29">
        <f>IF($K$9&lt;3," ",D26-D27-D28)</f>
        <v>1.4775526693280863</v>
      </c>
      <c r="E29" s="29">
        <f>IF($K$9&lt;4," ",E26-E27-E28)</f>
        <v>1.687199375705513</v>
      </c>
      <c r="F29" s="29">
        <f>IF($K$9&lt;5," ",F26-F27-F28)</f>
        <v>1.9063775497245738</v>
      </c>
      <c r="G29" s="29">
        <f>IF($K$9&lt;6," ",G26-G27-G28)</f>
        <v>2.1311875110710834</v>
      </c>
      <c r="H29" s="29">
        <f>IF($K$9&lt;7," ",H26-H27-H28)</f>
        <v>2.356973833930118</v>
      </c>
      <c r="I29" s="29">
        <f>IF($K$9&lt;8," ",I26-I27-I28)</f>
        <v>2.578441228146716</v>
      </c>
      <c r="J29" s="29">
        <f>IF($K$9&lt;9," ",J26-J27-J28)</f>
        <v>2.7898251945464527</v>
      </c>
      <c r="K29" s="29">
        <f>IF($K$9&lt;10," ",K26-K27-K28)</f>
        <v>2.9851129581647062</v>
      </c>
    </row>
    <row r="30" spans="1:11" ht="15">
      <c r="A30" s="23" t="s">
        <v>14</v>
      </c>
      <c r="B30" s="29">
        <f>IF($K$9&lt;1," ",B29/(1+$C$12)^B24)</f>
        <v>0.49777115848388687</v>
      </c>
      <c r="C30" s="29">
        <f>IF($K$9&lt;2," ",C29/(1+$C$12)^C24)</f>
        <v>0.5086123647272847</v>
      </c>
      <c r="D30" s="29">
        <f>IF($K$9&lt;3," ",D29/(1+$C$12)^D24)</f>
        <v>0.514348900129397</v>
      </c>
      <c r="E30" s="29">
        <f>IF($K$9&lt;4," ",E29/(1+$C$12)^E24)</f>
        <v>0.5147491122212623</v>
      </c>
      <c r="F30" s="29">
        <f>IF($K$9&lt;5," ",F29/(1+$C$12)^F24)</f>
        <v>0.5097444086819247</v>
      </c>
      <c r="G30" s="29">
        <f>IF($K$9&lt;6," ",G29/(1+$C$12)^G24)</f>
        <v>0.4994356897767883</v>
      </c>
      <c r="H30" s="29">
        <f>IF($K$9&lt;7," ",H29/(1+$C$12)^H24)</f>
        <v>0.4840910219355424</v>
      </c>
      <c r="I30" s="29">
        <f>IF($K$9&lt;8," ",I29/(1+$C$12)^I24)</f>
        <v>0.46413450828046837</v>
      </c>
      <c r="J30" s="29">
        <f>IF($K$9&lt;9," ",J29/(1+$C$12)^J24)</f>
        <v>0.44012695802090956</v>
      </c>
      <c r="K30" s="29">
        <f>IF($K$9&lt;10," ",K29/(1+$C$12)^K24)</f>
        <v>0.41273956624222047</v>
      </c>
    </row>
    <row r="31" spans="1:11" ht="15">
      <c r="A31" s="25" t="s">
        <v>55</v>
      </c>
      <c r="B31" s="8">
        <f>IF($K$9=1,1,0)</f>
        <v>0</v>
      </c>
      <c r="C31" s="8">
        <f>IF($K$9=2,1,0)</f>
        <v>0</v>
      </c>
      <c r="D31" s="8">
        <f>IF($K$9=3,1,0)</f>
        <v>0</v>
      </c>
      <c r="E31" s="8">
        <f>IF($K$9=4,1,0)</f>
        <v>0</v>
      </c>
      <c r="F31" s="8">
        <f>IF($K$9=5,1,0)</f>
        <v>0</v>
      </c>
      <c r="G31" s="8">
        <f>IF($K$9=6,1,0)</f>
        <v>0</v>
      </c>
      <c r="H31" s="8">
        <f>IF($K$9=7,1,0)</f>
        <v>0</v>
      </c>
      <c r="I31" s="8">
        <f>IF($K$9=8,1,0)</f>
        <v>0</v>
      </c>
      <c r="J31" s="8">
        <f>IF($K$9=19,1,0)</f>
        <v>0</v>
      </c>
      <c r="K31" s="8">
        <f>IF($K$9=10,1,0)</f>
        <v>1</v>
      </c>
    </row>
    <row r="32" spans="1:1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5">
      <c r="A33" s="25" t="s">
        <v>56</v>
      </c>
      <c r="B33" s="24"/>
      <c r="C33" s="24"/>
      <c r="D33" s="44">
        <f>SUMPRODUCT(B29:K29,B31:K31)*(1+K10)</f>
        <v>3.194070865236236</v>
      </c>
      <c r="E33" s="24"/>
      <c r="F33" s="24"/>
      <c r="G33" s="24"/>
      <c r="H33" s="24"/>
      <c r="I33" s="24"/>
      <c r="J33" s="24"/>
      <c r="K33" s="24"/>
    </row>
    <row r="34" spans="1:11" ht="15">
      <c r="A34" s="25" t="s">
        <v>57</v>
      </c>
      <c r="B34" s="24"/>
      <c r="C34" s="24"/>
      <c r="D34" s="44">
        <f>D33/(C12-K10)</f>
        <v>44.986913594876555</v>
      </c>
      <c r="E34" s="24"/>
      <c r="F34" s="24"/>
      <c r="G34" s="24"/>
      <c r="H34" s="24"/>
      <c r="I34" s="24"/>
      <c r="J34" s="24"/>
      <c r="K34" s="24"/>
    </row>
    <row r="35" spans="1:11" ht="15">
      <c r="A35" s="25" t="s">
        <v>58</v>
      </c>
      <c r="B35" s="24"/>
      <c r="C35" s="24"/>
      <c r="D35" s="44">
        <f>SUM(B21:K21)</f>
        <v>2.1997432913367723</v>
      </c>
      <c r="E35" s="24"/>
      <c r="F35" s="24"/>
      <c r="G35" s="24"/>
      <c r="H35" s="24"/>
      <c r="I35" s="24"/>
      <c r="J35" s="24"/>
      <c r="K35" s="24"/>
    </row>
    <row r="36" spans="1:11" ht="15">
      <c r="A36" s="25" t="s">
        <v>59</v>
      </c>
      <c r="B36" s="24"/>
      <c r="C36" s="24"/>
      <c r="D36" s="44">
        <f>SUM(B30:K30)</f>
        <v>4.845753688499685</v>
      </c>
      <c r="E36" s="24"/>
      <c r="F36" s="24"/>
      <c r="G36" s="24"/>
      <c r="H36" s="24"/>
      <c r="I36" s="24"/>
      <c r="J36" s="24"/>
      <c r="K36" s="24"/>
    </row>
    <row r="37" spans="1:11" ht="15">
      <c r="A37" s="25" t="s">
        <v>60</v>
      </c>
      <c r="B37" s="24"/>
      <c r="C37" s="24"/>
      <c r="D37" s="44">
        <f>D34/(1+K10)^K9</f>
        <v>22.86906568128121</v>
      </c>
      <c r="E37" s="24"/>
      <c r="F37" s="24"/>
      <c r="G37" s="24"/>
      <c r="H37" s="24"/>
      <c r="I37" s="24"/>
      <c r="J37" s="24"/>
      <c r="K37" s="24"/>
    </row>
    <row r="38" spans="1:11" ht="15">
      <c r="A38" s="25" t="s">
        <v>20</v>
      </c>
      <c r="B38" s="24"/>
      <c r="C38" s="24"/>
      <c r="D38" s="44">
        <f>SUM(D35:D37)</f>
        <v>29.914562661117667</v>
      </c>
      <c r="E38" s="24"/>
      <c r="F38" s="24"/>
      <c r="G38" s="24"/>
      <c r="H38" s="24"/>
      <c r="I38" s="24"/>
      <c r="J38" s="24"/>
      <c r="K38" s="24"/>
    </row>
  </sheetData>
  <sheetProtection/>
  <mergeCells count="1">
    <mergeCell ref="A1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Garber</dc:creator>
  <cp:keywords/>
  <dc:description/>
  <cp:lastModifiedBy>Anna Bruno</cp:lastModifiedBy>
  <dcterms:created xsi:type="dcterms:W3CDTF">2007-10-06T15:27:07Z</dcterms:created>
  <dcterms:modified xsi:type="dcterms:W3CDTF">2017-11-02T14:50:59Z</dcterms:modified>
  <cp:category/>
  <cp:version/>
  <cp:contentType/>
  <cp:contentStatus/>
</cp:coreProperties>
</file>